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9465" windowHeight="4455"/>
  </bookViews>
  <sheets>
    <sheet name="RiskCalculator" sheetId="1" r:id="rId1"/>
    <sheet name="Sheet2" sheetId="2" state="veryHidden" r:id="rId2"/>
  </sheets>
  <definedNames>
    <definedName name="_GoBack" localSheetId="0">RiskCalculator!$B$36</definedName>
    <definedName name="Gender">Sheet2!$A$5:$A$6</definedName>
    <definedName name="Proteinuria">Sheet2!$A$9:$A$12</definedName>
    <definedName name="sex">RiskCalculator!$C$5:$C$7</definedName>
    <definedName name="YesNo">Sheet2!$A$15:$A$18</definedName>
  </definedNames>
  <calcPr calcId="145621"/>
</workbook>
</file>

<file path=xl/calcChain.xml><?xml version="1.0" encoding="utf-8"?>
<calcChain xmlns="http://schemas.openxmlformats.org/spreadsheetml/2006/main">
  <c r="B21" i="2" l="1"/>
  <c r="B22" i="2"/>
  <c r="B23" i="2"/>
  <c r="B24" i="2"/>
  <c r="B25" i="2"/>
  <c r="B12" i="2"/>
  <c r="B13" i="2"/>
  <c r="F22" i="2" s="1"/>
  <c r="H22" i="2" s="1"/>
  <c r="D1" i="2" l="1"/>
  <c r="B29" i="2" l="1"/>
  <c r="B28" i="2"/>
  <c r="B30" i="2" l="1"/>
  <c r="P8" i="2"/>
  <c r="P4" i="2"/>
  <c r="N4" i="2"/>
  <c r="L8" i="2"/>
  <c r="L4" i="2"/>
  <c r="J8" i="2"/>
  <c r="J4" i="2"/>
  <c r="H8" i="2"/>
  <c r="H4" i="2"/>
  <c r="F5" i="2"/>
  <c r="P5" i="2" s="1"/>
  <c r="F11" i="2"/>
  <c r="J11" i="2" s="1"/>
  <c r="H5" i="2" l="1"/>
  <c r="L5" i="2"/>
  <c r="N5" i="2"/>
  <c r="J5" i="2"/>
  <c r="H11" i="2"/>
  <c r="L11" i="2"/>
  <c r="F19" i="2"/>
  <c r="H19" i="2" s="1"/>
  <c r="F13" i="1" l="1"/>
  <c r="F15" i="2"/>
  <c r="F14" i="2"/>
  <c r="F13" i="2"/>
  <c r="F17" i="2"/>
  <c r="F16" i="2"/>
  <c r="B6" i="2"/>
  <c r="B5" i="2"/>
  <c r="F6" i="2" s="1"/>
  <c r="F21" i="2"/>
  <c r="H21" i="2" s="1"/>
  <c r="B11" i="2"/>
  <c r="F20" i="2" s="1"/>
  <c r="H20" i="2" s="1"/>
  <c r="D3" i="2" l="1"/>
  <c r="P6" i="2"/>
  <c r="J6" i="2"/>
  <c r="N6" i="2"/>
  <c r="H6" i="2"/>
  <c r="L6" i="2"/>
  <c r="J16" i="2"/>
  <c r="N16" i="2"/>
  <c r="H16" i="2"/>
  <c r="H17" i="2"/>
  <c r="J17" i="2"/>
  <c r="N17" i="2"/>
  <c r="J13" i="2"/>
  <c r="H13" i="2"/>
  <c r="N13" i="2"/>
  <c r="N14" i="2"/>
  <c r="J14" i="2"/>
  <c r="H14" i="2"/>
  <c r="N15" i="2"/>
  <c r="H15" i="2"/>
  <c r="J15" i="2"/>
  <c r="B32" i="2"/>
  <c r="F9" i="2" s="1"/>
  <c r="B33" i="2"/>
  <c r="F10" i="2" s="1"/>
  <c r="N23" i="2" l="1"/>
  <c r="D9" i="2" s="1"/>
  <c r="C24" i="1" s="1"/>
  <c r="J10" i="2"/>
  <c r="L10" i="2"/>
  <c r="P10" i="2"/>
  <c r="H10" i="2"/>
  <c r="L9" i="2"/>
  <c r="P9" i="2"/>
  <c r="H9" i="2"/>
  <c r="J9" i="2"/>
  <c r="J23" i="2" l="1"/>
  <c r="D7" i="2" s="1"/>
  <c r="H23" i="2"/>
  <c r="D6" i="2" s="1"/>
  <c r="C18" i="1" s="1"/>
  <c r="P23" i="2"/>
  <c r="D10" i="2" s="1"/>
  <c r="C26" i="1" s="1"/>
  <c r="L23" i="2"/>
  <c r="D8" i="2" s="1"/>
  <c r="C22" i="1"/>
  <c r="C20" i="1"/>
</calcChain>
</file>

<file path=xl/sharedStrings.xml><?xml version="1.0" encoding="utf-8"?>
<sst xmlns="http://schemas.openxmlformats.org/spreadsheetml/2006/main" count="167" uniqueCount="138">
  <si>
    <t>Age</t>
  </si>
  <si>
    <t>Sex</t>
  </si>
  <si>
    <t>Female</t>
  </si>
  <si>
    <t>Male</t>
  </si>
  <si>
    <t>Mild</t>
  </si>
  <si>
    <t>Heavy</t>
  </si>
  <si>
    <t>Yes</t>
  </si>
  <si>
    <t>No</t>
  </si>
  <si>
    <t>%</t>
  </si>
  <si>
    <t xml:space="preserve"> </t>
  </si>
  <si>
    <t>years</t>
  </si>
  <si>
    <t>Normal</t>
  </si>
  <si>
    <t>Estimated Risk</t>
  </si>
  <si>
    <t>Predictors</t>
  </si>
  <si>
    <t xml:space="preserve">Model </t>
  </si>
  <si>
    <t>Age, Sex, AKI</t>
  </si>
  <si>
    <r>
      <t>Albuminuria</t>
    </r>
    <r>
      <rPr>
        <b/>
        <vertAlign val="superscript"/>
        <sz val="11"/>
        <color theme="1"/>
        <rFont val="Calibri"/>
        <family val="2"/>
        <scheme val="minor"/>
      </rPr>
      <t>¥</t>
    </r>
  </si>
  <si>
    <t>In-hospital dialysis</t>
  </si>
  <si>
    <t>mg/dL</t>
  </si>
  <si>
    <t>Albuminuria</t>
  </si>
  <si>
    <t>Yes/No variable</t>
  </si>
  <si>
    <t xml:space="preserve">Age </t>
  </si>
  <si>
    <t>Discharge SCr (mg/sL)</t>
  </si>
  <si>
    <t>Warning 1</t>
  </si>
  <si>
    <t>Warning 2</t>
  </si>
  <si>
    <t>Determine AKI</t>
  </si>
  <si>
    <t>AKI=</t>
  </si>
  <si>
    <t>Models</t>
  </si>
  <si>
    <t>stage 1</t>
  </si>
  <si>
    <t>stage 2</t>
  </si>
  <si>
    <t xml:space="preserve">stage 3 </t>
  </si>
  <si>
    <t>Model 2</t>
  </si>
  <si>
    <t>Model 4</t>
  </si>
  <si>
    <t>Model 5</t>
  </si>
  <si>
    <t>Intercept</t>
  </si>
  <si>
    <t>Age, years</t>
  </si>
  <si>
    <t>Female sex</t>
  </si>
  <si>
    <t>AKI</t>
  </si>
  <si>
    <t xml:space="preserve">     Stage2</t>
  </si>
  <si>
    <t xml:space="preserve">     Stage3</t>
  </si>
  <si>
    <t>Baseline Scr (mg/dL)</t>
  </si>
  <si>
    <t>Discharge Scr (mg/dL)</t>
  </si>
  <si>
    <t>Baseline Albuminuria</t>
  </si>
  <si>
    <t xml:space="preserve">     Normal</t>
  </si>
  <si>
    <t xml:space="preserve">     Mild</t>
  </si>
  <si>
    <t xml:space="preserve">     Heavy </t>
  </si>
  <si>
    <t xml:space="preserve">Model 1 </t>
  </si>
  <si>
    <t>Beta</t>
  </si>
  <si>
    <t>Models Calculatrion</t>
  </si>
  <si>
    <t>Parameters</t>
  </si>
  <si>
    <t>Variables</t>
  </si>
  <si>
    <t>Values</t>
  </si>
  <si>
    <t xml:space="preserve">Model 1 = </t>
  </si>
  <si>
    <t xml:space="preserve">Model 2 = </t>
  </si>
  <si>
    <t>Model 4 =</t>
  </si>
  <si>
    <t>Model 5 =</t>
  </si>
  <si>
    <t>Model 3</t>
  </si>
  <si>
    <t>Stage1</t>
  </si>
  <si>
    <t>Model 3 =</t>
  </si>
  <si>
    <t>beta*X</t>
  </si>
  <si>
    <t>max inpt SCr/baseline SCr ratio =</t>
  </si>
  <si>
    <t>max inpt SCr - baseline SCr dif =</t>
  </si>
  <si>
    <t>AKI stage (Calculated)</t>
  </si>
  <si>
    <t>¥ Albuminuria categories</t>
  </si>
  <si>
    <t xml:space="preserve">       Urine Dipstick                                       Urine ACR (mg/g)                            MALB</t>
  </si>
  <si>
    <t xml:space="preserve"> Urine ACR (mg/g)                                 Urine ACR (mg/mmol)                                                   </t>
  </si>
  <si>
    <t xml:space="preserve">       negative                                </t>
  </si>
  <si>
    <t xml:space="preserve">       &lt; 30</t>
  </si>
  <si>
    <t xml:space="preserve">       trace or 1+  </t>
  </si>
  <si>
    <r>
      <t xml:space="preserve">      30  </t>
    </r>
    <r>
      <rPr>
        <sz val="11"/>
        <color theme="0"/>
        <rFont val="Calibri"/>
        <family val="2"/>
      </rPr>
      <t>̶  300</t>
    </r>
  </si>
  <si>
    <r>
      <t xml:space="preserve">       </t>
    </r>
    <r>
      <rPr>
        <sz val="11"/>
        <color theme="0"/>
        <rFont val="Calibri"/>
        <family val="2"/>
      </rPr>
      <t xml:space="preserve">≥ </t>
    </r>
    <r>
      <rPr>
        <sz val="11"/>
        <color theme="0"/>
        <rFont val="Calibri"/>
        <family val="2"/>
        <scheme val="minor"/>
      </rPr>
      <t xml:space="preserve">2+  </t>
    </r>
  </si>
  <si>
    <t xml:space="preserve">      &gt; 300</t>
  </si>
  <si>
    <t>Enter patient's information:</t>
  </si>
  <si>
    <t>Variable definitions :</t>
  </si>
  <si>
    <t>&lt; 3.4</t>
  </si>
  <si>
    <r>
      <t xml:space="preserve">3.4  </t>
    </r>
    <r>
      <rPr>
        <sz val="11"/>
        <color theme="0"/>
        <rFont val="Calibri"/>
        <family val="2"/>
      </rPr>
      <t>̶  33.9</t>
    </r>
  </si>
  <si>
    <r>
      <rPr>
        <sz val="11"/>
        <color theme="0"/>
        <rFont val="Calibri"/>
        <family val="2"/>
      </rPr>
      <t>≥</t>
    </r>
    <r>
      <rPr>
        <sz val="11"/>
        <color theme="0"/>
        <rFont val="Calibri"/>
        <family val="2"/>
        <scheme val="minor"/>
      </rPr>
      <t xml:space="preserve"> 34</t>
    </r>
  </si>
  <si>
    <t>-9.2461</t>
  </si>
  <si>
    <t xml:space="preserve"> 0.0168</t>
  </si>
  <si>
    <t xml:space="preserve"> 1.0737</t>
  </si>
  <si>
    <t xml:space="preserve"> 0.2465</t>
  </si>
  <si>
    <t xml:space="preserve"> 0.9027</t>
  </si>
  <si>
    <t xml:space="preserve"> 1.6209</t>
  </si>
  <si>
    <t xml:space="preserve"> 1.0760</t>
  </si>
  <si>
    <t xml:space="preserve"> 2.0514</t>
  </si>
  <si>
    <t xml:space="preserve"> 2.4292</t>
  </si>
  <si>
    <t xml:space="preserve"> 3.6112</t>
  </si>
  <si>
    <t xml:space="preserve"> 0.2230</t>
  </si>
  <si>
    <t xml:space="preserve"> 1.1416</t>
  </si>
  <si>
    <t xml:space="preserve"> 0.5103</t>
  </si>
  <si>
    <t>-8.9939</t>
  </si>
  <si>
    <t xml:space="preserve"> 0.0149</t>
  </si>
  <si>
    <t xml:space="preserve"> 1.1099</t>
  </si>
  <si>
    <t xml:space="preserve"> 0.2608</t>
  </si>
  <si>
    <t xml:space="preserve"> 0.9255</t>
  </si>
  <si>
    <t xml:space="preserve"> 1.8440</t>
  </si>
  <si>
    <t xml:space="preserve"> 1.0586</t>
  </si>
  <si>
    <t xml:space="preserve"> 2.0375</t>
  </si>
  <si>
    <t xml:space="preserve"> 2.4383</t>
  </si>
  <si>
    <t xml:space="preserve"> 3.6059</t>
  </si>
  <si>
    <t>-9.1857</t>
  </si>
  <si>
    <t xml:space="preserve"> 0.0126</t>
  </si>
  <si>
    <t xml:space="preserve"> 1.0218</t>
  </si>
  <si>
    <t xml:space="preserve"> 0.7893</t>
  </si>
  <si>
    <t xml:space="preserve"> 1.9232</t>
  </si>
  <si>
    <t xml:space="preserve"> 3.7321</t>
  </si>
  <si>
    <t>-7.0725</t>
  </si>
  <si>
    <t xml:space="preserve"> 0.0145</t>
  </si>
  <si>
    <t xml:space="preserve"> 0.8053</t>
  </si>
  <si>
    <t xml:space="preserve"> 1.2223</t>
  </si>
  <si>
    <t xml:space="preserve"> 2.3734</t>
  </si>
  <si>
    <t xml:space="preserve"> 2.9471</t>
  </si>
  <si>
    <t xml:space="preserve"> 4.4360</t>
  </si>
  <si>
    <t>-5.1644</t>
  </si>
  <si>
    <t xml:space="preserve"> 0.0161</t>
  </si>
  <si>
    <t xml:space="preserve"> 0.1396</t>
  </si>
  <si>
    <t xml:space="preserve"> 0.6393</t>
  </si>
  <si>
    <t xml:space="preserve"> 1.8474</t>
  </si>
  <si>
    <t>Not measured</t>
  </si>
  <si>
    <t xml:space="preserve">     Not measured</t>
  </si>
  <si>
    <t>&lt;1.0</t>
  </si>
  <si>
    <t>1.0-&lt;1.3</t>
  </si>
  <si>
    <t>1.3 -&lt; 1.6</t>
  </si>
  <si>
    <t>1.6 -&lt; 1.9</t>
  </si>
  <si>
    <t>≥ 1.9</t>
  </si>
  <si>
    <t>0</t>
  </si>
  <si>
    <r>
      <t>This Calculator is for those hospitalized with AKI and baseline eGFR &gt; 45 mL/min/1.73 m</t>
    </r>
    <r>
      <rPr>
        <b/>
        <vertAlign val="superscript"/>
        <sz val="11"/>
        <color rgb="FFFFFF00"/>
        <rFont val="Calibri"/>
        <family val="2"/>
        <scheme val="minor"/>
      </rPr>
      <t>2</t>
    </r>
  </si>
  <si>
    <t>Risk Calculator for Advanced CKD following AKI</t>
  </si>
  <si>
    <t xml:space="preserve">Baseline Scr                                                                </t>
  </si>
  <si>
    <t xml:space="preserve">Peak Scr during hospital admission                 </t>
  </si>
  <si>
    <r>
      <t>Age, Sex, AKI, Baseline SCr, Disharge Scr</t>
    </r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, Albuminuria</t>
    </r>
    <r>
      <rPr>
        <vertAlign val="superscript"/>
        <sz val="11"/>
        <color theme="1"/>
        <rFont val="Calibri"/>
        <family val="2"/>
      </rPr>
      <t>¥</t>
    </r>
  </si>
  <si>
    <r>
      <t>Age, Sex, AKI, Baseline SCr, Disharge Scr</t>
    </r>
    <r>
      <rPr>
        <vertAlign val="superscript"/>
        <sz val="11"/>
        <color theme="1"/>
        <rFont val="Calibri"/>
        <family val="2"/>
      </rPr>
      <t>§</t>
    </r>
  </si>
  <si>
    <t>Age, Sex, AKI, Baseline Scr</t>
  </si>
  <si>
    <r>
      <t>Age, Sex, Disharge Scr</t>
    </r>
    <r>
      <rPr>
        <vertAlign val="superscript"/>
        <sz val="11"/>
        <color theme="1"/>
        <rFont val="Calibri"/>
        <family val="2"/>
      </rPr>
      <t>§</t>
    </r>
  </si>
  <si>
    <t>§ Discharge Scr = last Scr measurement before discharge from a hospital</t>
  </si>
  <si>
    <r>
      <t xml:space="preserve">Abbreviations: </t>
    </r>
    <r>
      <rPr>
        <sz val="11"/>
        <color theme="0"/>
        <rFont val="Calibri"/>
        <family val="2"/>
        <scheme val="minor"/>
      </rPr>
      <t xml:space="preserve"> Scr = Serum creatinine, AKI = Acute Kidney Injury, ACR = Albumin to Creatinine Ratio</t>
    </r>
  </si>
  <si>
    <r>
      <t>Discharge Scr</t>
    </r>
    <r>
      <rPr>
        <b/>
        <vertAlign val="superscript"/>
        <sz val="11"/>
        <color theme="1"/>
        <rFont val="Calibri"/>
        <family val="2"/>
        <scheme val="minor"/>
      </rPr>
      <t>§</t>
    </r>
  </si>
  <si>
    <t>Predicted risk of advanced CKD (sustained eGFR &lt; 30 mL/min/1.73 m2):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</si>
</sst>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rgb="FFFFFF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13" applyNumberFormat="0" applyAlignment="0" applyProtection="0"/>
    <xf numFmtId="0" fontId="23" fillId="11" borderId="14" applyNumberFormat="0" applyAlignment="0" applyProtection="0"/>
    <xf numFmtId="0" fontId="24" fillId="11" borderId="13" applyNumberFormat="0" applyAlignment="0" applyProtection="0"/>
    <xf numFmtId="0" fontId="25" fillId="0" borderId="15" applyNumberFormat="0" applyFill="0" applyAlignment="0" applyProtection="0"/>
    <xf numFmtId="0" fontId="3" fillId="12" borderId="16" applyNumberFormat="0" applyAlignment="0" applyProtection="0"/>
    <xf numFmtId="0" fontId="11" fillId="0" borderId="0" applyNumberFormat="0" applyFill="0" applyBorder="0" applyAlignment="0" applyProtection="0"/>
    <xf numFmtId="0" fontId="14" fillId="13" borderId="17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7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" fillId="0" borderId="0" xfId="0" applyFont="1"/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indent="2"/>
    </xf>
    <xf numFmtId="49" fontId="0" fillId="0" borderId="0" xfId="0" applyNumberFormat="1" applyFont="1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9" fontId="13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7" xfId="0" applyNumberFormat="1" applyBorder="1"/>
    <xf numFmtId="2" fontId="1" fillId="0" borderId="0" xfId="0" applyNumberFormat="1" applyFont="1" applyFill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2" fontId="1" fillId="6" borderId="0" xfId="0" applyNumberFormat="1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 wrapText="1" indent="2"/>
    </xf>
    <xf numFmtId="0" fontId="2" fillId="0" borderId="9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6" fillId="38" borderId="0" xfId="0" applyFont="1" applyFill="1" applyAlignment="1">
      <alignment vertical="center"/>
    </xf>
    <xf numFmtId="0" fontId="3" fillId="4" borderId="19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wrapText="1"/>
    </xf>
    <xf numFmtId="49" fontId="32" fillId="0" borderId="0" xfId="0" applyNumberFormat="1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left" vertical="center" wrapText="1" indent="2"/>
    </xf>
    <xf numFmtId="49" fontId="33" fillId="0" borderId="0" xfId="0" applyNumberFormat="1" applyFont="1" applyBorder="1" applyAlignment="1">
      <alignment horizontal="left" vertical="center" wrapText="1" indent="2"/>
    </xf>
    <xf numFmtId="2" fontId="0" fillId="0" borderId="0" xfId="0" applyNumberFormat="1" applyBorder="1" applyAlignment="1">
      <alignment horizontal="center"/>
    </xf>
    <xf numFmtId="49" fontId="13" fillId="0" borderId="7" xfId="0" applyNumberFormat="1" applyFont="1" applyFill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0" fontId="0" fillId="0" borderId="7" xfId="0" applyBorder="1"/>
    <xf numFmtId="2" fontId="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2" defaultTableStyle="TableStyleMedium2" defaultPivotStyle="PivotStyleLight16">
    <tableStyle name="PivotTable Style 1" table="0" count="0"/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36</xdr:row>
      <xdr:rowOff>9525</xdr:rowOff>
    </xdr:from>
    <xdr:ext cx="5676900" cy="3192412"/>
    <xdr:sp macro="" textlink="">
      <xdr:nvSpPr>
        <xdr:cNvPr id="2" name="TextBox 1"/>
        <xdr:cNvSpPr txBox="1"/>
      </xdr:nvSpPr>
      <xdr:spPr>
        <a:xfrm>
          <a:off x="638175" y="6991350"/>
          <a:ext cx="5676900" cy="3192412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Supplementary Online Content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James MT, Neesh P, Hemmelgarn BR, et al. Derivation and external validation of prediction models for advanced chronic kidney disease following acute kidney injury.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JAMA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doi:10.1001/jama.2017.16326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Risk calculator for advanced chronic kidney disease following acute kidney injury (2017)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smartphone app is available on </a:t>
          </a:r>
          <a:r>
            <a:rPr lang="en-US" sz="1100" smtClean="0">
              <a:solidFill>
                <a:schemeClr val="tx1"/>
              </a:solidFill>
              <a:latin typeface="+mn-lt"/>
              <a:ea typeface="+mn-ea"/>
              <a:cs typeface="+mn-cs"/>
            </a:rPr>
            <a:t>Calculate by QxMD for iOS, Android and Windows (free install at https://qxmd.com/getcalculate)</a:t>
          </a:r>
        </a:p>
        <a:p>
          <a:endParaRPr lang="en-US" sz="110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tx1"/>
              </a:solidFill>
              <a:latin typeface="+mn-lt"/>
              <a:ea typeface="+mn-ea"/>
              <a:cs typeface="+mn-cs"/>
            </a:rPr>
            <a:t>It is available online at https://qxmd.com/calculate/calculator_451/advanced-ckd-after-aki-risk-index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supplementary material has been provided by the authors to give readers additional information about their work.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 2017 American Medical Association. All rights reserved.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50"/>
  <sheetViews>
    <sheetView tabSelected="1" topLeftCell="A31" workbookViewId="0">
      <selection activeCell="I45" sqref="I45"/>
    </sheetView>
  </sheetViews>
  <sheetFormatPr defaultColWidth="9.140625" defaultRowHeight="15" x14ac:dyDescent="0.25"/>
  <cols>
    <col min="1" max="1" width="9.140625" style="1"/>
    <col min="2" max="2" width="24.85546875" style="1" customWidth="1"/>
    <col min="3" max="3" width="16.7109375" style="2" customWidth="1"/>
    <col min="4" max="4" width="10.28515625" style="1" customWidth="1"/>
    <col min="5" max="5" width="33.85546875" style="1" customWidth="1"/>
    <col min="6" max="6" width="13.7109375" style="2" customWidth="1"/>
    <col min="7" max="7" width="11.28515625" style="2" customWidth="1"/>
    <col min="8" max="16384" width="9.140625" style="1"/>
  </cols>
  <sheetData>
    <row r="2" spans="2:11" ht="14.25" x14ac:dyDescent="0.45">
      <c r="B2" s="17"/>
    </row>
    <row r="3" spans="2:11" ht="18" x14ac:dyDescent="0.45">
      <c r="B3" s="95" t="s">
        <v>127</v>
      </c>
      <c r="C3" s="95"/>
      <c r="D3" s="95"/>
      <c r="E3" s="95"/>
      <c r="F3" s="95"/>
      <c r="G3" s="95"/>
    </row>
    <row r="4" spans="2:11" ht="15.75" x14ac:dyDescent="0.45">
      <c r="B4" s="70" t="s">
        <v>126</v>
      </c>
      <c r="C4" s="77"/>
      <c r="D4" s="78"/>
      <c r="E4" s="78"/>
      <c r="F4" s="77"/>
      <c r="G4" s="77"/>
    </row>
    <row r="5" spans="2:11" ht="14.25" x14ac:dyDescent="0.45">
      <c r="B5" s="68" t="s">
        <v>72</v>
      </c>
      <c r="C5" s="62"/>
      <c r="D5" s="63"/>
      <c r="E5" s="58"/>
      <c r="F5" s="62"/>
      <c r="G5" s="62"/>
    </row>
    <row r="6" spans="2:11" ht="14.25" x14ac:dyDescent="0.45">
      <c r="B6" s="13"/>
      <c r="C6" s="13"/>
      <c r="D6" s="13"/>
      <c r="E6" s="13"/>
      <c r="F6" s="13"/>
      <c r="G6" s="13"/>
    </row>
    <row r="7" spans="2:11" ht="14.25" x14ac:dyDescent="0.45">
      <c r="B7" s="5" t="s">
        <v>0</v>
      </c>
      <c r="C7" s="45"/>
      <c r="D7" s="65" t="s">
        <v>10</v>
      </c>
      <c r="E7" s="5" t="s">
        <v>128</v>
      </c>
      <c r="F7" s="45"/>
      <c r="G7" s="6" t="s">
        <v>18</v>
      </c>
    </row>
    <row r="8" spans="2:11" ht="14.25" x14ac:dyDescent="0.45">
      <c r="B8" s="5"/>
      <c r="C8" s="4"/>
      <c r="D8" s="3"/>
      <c r="E8" s="5"/>
      <c r="F8" s="7"/>
      <c r="G8" s="4"/>
    </row>
    <row r="9" spans="2:11" ht="14.25" x14ac:dyDescent="0.45">
      <c r="B9" s="5" t="s">
        <v>1</v>
      </c>
      <c r="C9" s="46"/>
      <c r="D9" s="3"/>
      <c r="E9" s="5" t="s">
        <v>129</v>
      </c>
      <c r="F9" s="45"/>
      <c r="G9" s="6" t="s">
        <v>18</v>
      </c>
    </row>
    <row r="10" spans="2:11" ht="14.25" x14ac:dyDescent="0.45">
      <c r="B10" s="5"/>
      <c r="C10" s="4"/>
      <c r="D10" s="3"/>
      <c r="E10" s="5"/>
      <c r="F10" s="7"/>
      <c r="G10" s="4"/>
      <c r="K10" s="64"/>
    </row>
    <row r="11" spans="2:11" ht="17.25" x14ac:dyDescent="0.25">
      <c r="B11" s="5" t="s">
        <v>16</v>
      </c>
      <c r="C11" s="46"/>
      <c r="D11" s="3"/>
      <c r="E11" s="5" t="s">
        <v>136</v>
      </c>
      <c r="F11" s="45"/>
      <c r="G11" s="4" t="s">
        <v>18</v>
      </c>
    </row>
    <row r="12" spans="2:11" x14ac:dyDescent="0.25">
      <c r="B12" s="3"/>
      <c r="C12" s="4"/>
      <c r="D12" s="3"/>
      <c r="E12" s="3"/>
      <c r="F12" s="4"/>
      <c r="G12" s="4"/>
    </row>
    <row r="13" spans="2:11" ht="17.25" customHeight="1" x14ac:dyDescent="0.25">
      <c r="B13" s="5" t="s">
        <v>17</v>
      </c>
      <c r="C13" s="47"/>
      <c r="D13" s="3"/>
      <c r="E13" s="61" t="s">
        <v>62</v>
      </c>
      <c r="F13" s="59" t="str">
        <f>Sheet2!B30</f>
        <v/>
      </c>
      <c r="G13" s="15"/>
    </row>
    <row r="14" spans="2:11" x14ac:dyDescent="0.25">
      <c r="B14" s="3"/>
      <c r="C14" s="4"/>
      <c r="D14" s="3"/>
      <c r="E14" s="5"/>
      <c r="F14" s="54"/>
      <c r="G14" s="55"/>
    </row>
    <row r="15" spans="2:11" s="64" customFormat="1" x14ac:dyDescent="0.25">
      <c r="B15" s="98" t="s">
        <v>137</v>
      </c>
      <c r="C15" s="98"/>
      <c r="D15" s="73"/>
      <c r="E15" s="79"/>
      <c r="F15" s="80"/>
      <c r="G15" s="81"/>
    </row>
    <row r="16" spans="2:11" x14ac:dyDescent="0.25">
      <c r="B16" s="56" t="s">
        <v>14</v>
      </c>
      <c r="C16" s="57" t="s">
        <v>12</v>
      </c>
      <c r="D16" s="11"/>
      <c r="E16" s="97" t="s">
        <v>13</v>
      </c>
      <c r="F16" s="97"/>
      <c r="G16" s="97"/>
    </row>
    <row r="17" spans="2:10" x14ac:dyDescent="0.25">
      <c r="B17" s="30"/>
      <c r="C17" s="31"/>
      <c r="D17" s="32"/>
      <c r="E17" s="33"/>
      <c r="F17" s="33"/>
      <c r="G17" s="33"/>
    </row>
    <row r="18" spans="2:10" ht="17.25" x14ac:dyDescent="0.25">
      <c r="B18" s="34">
        <v>1</v>
      </c>
      <c r="C18" s="9" t="str">
        <f>IF(OR(C7="", C9=" ",C11="", F7="", F13="", F11=""), "", Sheet2!D6)</f>
        <v/>
      </c>
      <c r="D18" s="35" t="s">
        <v>8</v>
      </c>
      <c r="E18" s="96" t="s">
        <v>130</v>
      </c>
      <c r="F18" s="96"/>
      <c r="G18" s="96"/>
      <c r="J18" s="60"/>
    </row>
    <row r="19" spans="2:10" x14ac:dyDescent="0.25">
      <c r="B19" s="34"/>
      <c r="C19" s="36"/>
      <c r="D19" s="37"/>
      <c r="E19" s="38"/>
      <c r="F19" s="37"/>
      <c r="G19" s="37"/>
    </row>
    <row r="20" spans="2:10" ht="17.25" x14ac:dyDescent="0.25">
      <c r="B20" s="34">
        <v>2</v>
      </c>
      <c r="C20" s="29" t="str">
        <f>IF(OR(C7="", C9="", F7=" ", F13="", F11=""), "", Sheet2!D7)</f>
        <v/>
      </c>
      <c r="D20" s="35" t="s">
        <v>8</v>
      </c>
      <c r="E20" s="96" t="s">
        <v>131</v>
      </c>
      <c r="F20" s="96"/>
      <c r="G20" s="96"/>
    </row>
    <row r="21" spans="2:10" x14ac:dyDescent="0.25">
      <c r="B21" s="34"/>
      <c r="C21" s="36"/>
      <c r="D21" s="37"/>
      <c r="E21" s="38"/>
      <c r="F21" s="37"/>
      <c r="G21" s="37"/>
    </row>
    <row r="22" spans="2:10" x14ac:dyDescent="0.25">
      <c r="B22" s="34">
        <v>3</v>
      </c>
      <c r="C22" s="29" t="str">
        <f>IF(OR(C7="", C9="", F13="", F7=""), "", Sheet2!D8)</f>
        <v/>
      </c>
      <c r="D22" s="37" t="s">
        <v>8</v>
      </c>
      <c r="E22" s="38" t="s">
        <v>132</v>
      </c>
      <c r="F22" s="37"/>
      <c r="G22" s="37"/>
    </row>
    <row r="23" spans="2:10" x14ac:dyDescent="0.25">
      <c r="B23" s="34"/>
      <c r="C23" s="36"/>
      <c r="D23" s="37"/>
      <c r="E23" s="38"/>
      <c r="F23" s="37"/>
      <c r="G23" s="37"/>
    </row>
    <row r="24" spans="2:10" ht="17.25" x14ac:dyDescent="0.25">
      <c r="B24" s="34">
        <v>4</v>
      </c>
      <c r="C24" s="10" t="str">
        <f>IF(OR(C7="", C9="", F13="", F11=""), "", Sheet2!D9)</f>
        <v/>
      </c>
      <c r="D24" s="35" t="s">
        <v>8</v>
      </c>
      <c r="E24" s="96" t="s">
        <v>133</v>
      </c>
      <c r="F24" s="96"/>
      <c r="G24" s="96"/>
    </row>
    <row r="25" spans="2:10" x14ac:dyDescent="0.25">
      <c r="B25" s="34"/>
      <c r="C25" s="36" t="s">
        <v>9</v>
      </c>
      <c r="D25" s="37"/>
      <c r="E25" s="38"/>
      <c r="F25" s="37"/>
      <c r="G25" s="37"/>
    </row>
    <row r="26" spans="2:10" x14ac:dyDescent="0.25">
      <c r="B26" s="34">
        <v>5</v>
      </c>
      <c r="C26" s="10" t="str">
        <f>IF(OR(C7="", C9="", F7="", F13=""), "", Sheet2!D10)</f>
        <v/>
      </c>
      <c r="D26" s="35" t="s">
        <v>8</v>
      </c>
      <c r="E26" s="96" t="s">
        <v>15</v>
      </c>
      <c r="F26" s="96"/>
      <c r="G26" s="96"/>
    </row>
    <row r="27" spans="2:10" x14ac:dyDescent="0.25">
      <c r="B27" s="38"/>
      <c r="C27" s="37"/>
      <c r="D27" s="38"/>
      <c r="E27" s="38"/>
      <c r="F27" s="37"/>
      <c r="G27" s="37"/>
    </row>
    <row r="28" spans="2:10" s="64" customFormat="1" x14ac:dyDescent="0.25">
      <c r="B28" s="71" t="s">
        <v>73</v>
      </c>
      <c r="C28" s="72"/>
      <c r="D28" s="73"/>
      <c r="E28" s="73"/>
      <c r="F28" s="72"/>
      <c r="G28" s="72"/>
    </row>
    <row r="29" spans="2:10" x14ac:dyDescent="0.25">
      <c r="B29" s="69" t="s">
        <v>63</v>
      </c>
      <c r="C29" s="66" t="s">
        <v>64</v>
      </c>
      <c r="D29" s="67"/>
      <c r="E29" s="74" t="s">
        <v>65</v>
      </c>
      <c r="F29" s="74"/>
      <c r="G29" s="67"/>
    </row>
    <row r="30" spans="2:10" x14ac:dyDescent="0.25">
      <c r="B30" s="8" t="s">
        <v>11</v>
      </c>
      <c r="C30" s="52" t="s">
        <v>66</v>
      </c>
      <c r="D30" s="53"/>
      <c r="E30" s="53" t="s">
        <v>67</v>
      </c>
      <c r="F30" s="53" t="s">
        <v>74</v>
      </c>
      <c r="G30" s="53"/>
    </row>
    <row r="31" spans="2:10" x14ac:dyDescent="0.25">
      <c r="B31" s="8" t="s">
        <v>4</v>
      </c>
      <c r="C31" s="50" t="s">
        <v>68</v>
      </c>
      <c r="D31" s="51"/>
      <c r="E31" s="51" t="s">
        <v>69</v>
      </c>
      <c r="F31" s="51" t="s">
        <v>75</v>
      </c>
      <c r="G31" s="51"/>
    </row>
    <row r="32" spans="2:10" x14ac:dyDescent="0.25">
      <c r="B32" s="12" t="s">
        <v>5</v>
      </c>
      <c r="C32" s="66" t="s">
        <v>70</v>
      </c>
      <c r="D32" s="67"/>
      <c r="E32" s="67" t="s">
        <v>71</v>
      </c>
      <c r="F32" s="67" t="s">
        <v>76</v>
      </c>
      <c r="G32" s="67"/>
    </row>
    <row r="33" spans="2:7" x14ac:dyDescent="0.25">
      <c r="B33" s="48" t="s">
        <v>134</v>
      </c>
      <c r="C33" s="48"/>
      <c r="D33" s="48"/>
      <c r="E33" s="48"/>
      <c r="F33" s="48"/>
      <c r="G33" s="48"/>
    </row>
    <row r="34" spans="2:7" x14ac:dyDescent="0.25">
      <c r="B34" s="49" t="s">
        <v>135</v>
      </c>
      <c r="C34" s="49"/>
      <c r="D34" s="49"/>
      <c r="E34" s="49"/>
      <c r="F34" s="49"/>
      <c r="G34" s="49"/>
    </row>
    <row r="35" spans="2:7" x14ac:dyDescent="0.25">
      <c r="B35" s="75"/>
      <c r="C35" s="76"/>
      <c r="D35" s="75"/>
      <c r="E35" s="75"/>
      <c r="F35" s="76"/>
      <c r="G35" s="76"/>
    </row>
    <row r="36" spans="2:7" x14ac:dyDescent="0.25">
      <c r="B36" s="102"/>
      <c r="C36" s="103"/>
      <c r="D36" s="102"/>
      <c r="E36" s="102"/>
      <c r="F36" s="103"/>
      <c r="G36" s="103"/>
    </row>
    <row r="37" spans="2:7" x14ac:dyDescent="0.25">
      <c r="B37" s="102"/>
      <c r="C37" s="103"/>
      <c r="D37" s="102"/>
      <c r="E37" s="102"/>
      <c r="F37" s="103"/>
      <c r="G37" s="103"/>
    </row>
    <row r="38" spans="2:7" x14ac:dyDescent="0.25">
      <c r="B38" s="102"/>
      <c r="C38" s="103"/>
      <c r="D38" s="102"/>
      <c r="E38" s="102"/>
      <c r="F38" s="103"/>
      <c r="G38" s="103"/>
    </row>
    <row r="39" spans="2:7" x14ac:dyDescent="0.25">
      <c r="B39" s="102"/>
      <c r="C39" s="103"/>
      <c r="D39" s="102"/>
      <c r="E39" s="102"/>
      <c r="F39" s="103"/>
      <c r="G39" s="103"/>
    </row>
    <row r="40" spans="2:7" x14ac:dyDescent="0.25">
      <c r="B40" s="102"/>
      <c r="C40" s="103"/>
      <c r="D40" s="102"/>
      <c r="E40" s="102"/>
      <c r="F40" s="103"/>
      <c r="G40" s="103"/>
    </row>
    <row r="41" spans="2:7" x14ac:dyDescent="0.25">
      <c r="B41" s="102"/>
      <c r="C41" s="103"/>
      <c r="D41" s="102"/>
      <c r="E41" s="102"/>
      <c r="F41" s="103"/>
      <c r="G41" s="103"/>
    </row>
    <row r="42" spans="2:7" x14ac:dyDescent="0.25">
      <c r="B42" s="102"/>
      <c r="C42" s="103"/>
      <c r="D42" s="102"/>
      <c r="E42" s="102"/>
      <c r="F42" s="103"/>
      <c r="G42" s="103"/>
    </row>
    <row r="43" spans="2:7" x14ac:dyDescent="0.25">
      <c r="B43" s="102"/>
      <c r="C43" s="103"/>
      <c r="D43" s="102"/>
      <c r="E43" s="102"/>
      <c r="F43" s="103"/>
      <c r="G43" s="103"/>
    </row>
    <row r="44" spans="2:7" x14ac:dyDescent="0.25">
      <c r="B44" s="102"/>
      <c r="C44" s="103"/>
      <c r="D44" s="102"/>
      <c r="E44" s="102"/>
      <c r="F44" s="103"/>
      <c r="G44" s="103"/>
    </row>
    <row r="45" spans="2:7" x14ac:dyDescent="0.25">
      <c r="B45" s="102"/>
      <c r="C45" s="103"/>
      <c r="D45" s="102"/>
      <c r="E45" s="102"/>
      <c r="F45" s="103"/>
      <c r="G45" s="103"/>
    </row>
    <row r="46" spans="2:7" x14ac:dyDescent="0.25">
      <c r="B46" s="102"/>
      <c r="C46" s="103"/>
      <c r="D46" s="102"/>
      <c r="E46" s="102"/>
      <c r="F46" s="103"/>
      <c r="G46" s="103"/>
    </row>
    <row r="47" spans="2:7" x14ac:dyDescent="0.25">
      <c r="B47" s="102"/>
      <c r="C47" s="103"/>
      <c r="D47" s="102"/>
      <c r="E47" s="102"/>
      <c r="F47" s="103"/>
      <c r="G47" s="103"/>
    </row>
    <row r="48" spans="2:7" x14ac:dyDescent="0.25">
      <c r="B48" s="102"/>
      <c r="C48" s="103"/>
      <c r="D48" s="102"/>
      <c r="E48" s="102"/>
      <c r="F48" s="103"/>
      <c r="G48" s="103"/>
    </row>
    <row r="49" spans="2:7" x14ac:dyDescent="0.25">
      <c r="B49" s="102"/>
      <c r="C49" s="103"/>
      <c r="D49" s="102"/>
      <c r="E49" s="102"/>
      <c r="F49" s="103"/>
      <c r="G49" s="103"/>
    </row>
    <row r="50" spans="2:7" x14ac:dyDescent="0.25">
      <c r="B50" s="102"/>
      <c r="C50" s="103"/>
      <c r="D50" s="102"/>
      <c r="E50" s="102"/>
      <c r="F50" s="103"/>
      <c r="G50" s="103"/>
    </row>
  </sheetData>
  <dataConsolidate/>
  <mergeCells count="7">
    <mergeCell ref="B3:G3"/>
    <mergeCell ref="E20:G20"/>
    <mergeCell ref="E24:G24"/>
    <mergeCell ref="E26:G26"/>
    <mergeCell ref="E16:G16"/>
    <mergeCell ref="E18:G18"/>
    <mergeCell ref="B15:C15"/>
  </mergeCells>
  <dataValidations count="4">
    <dataValidation type="whole" allowBlank="1" showInputMessage="1" showErrorMessage="1" errorTitle="Age range is" error="18 &lt;= Age &lt;= 102" sqref="C7">
      <formula1>18</formula1>
      <formula2>102</formula2>
    </dataValidation>
    <dataValidation type="decimal" allowBlank="1" showInputMessage="1" showErrorMessage="1" errorTitle="Baseline SCr Range" error="0.28&lt;= Baseline SCr &lt;=1.82._x000a__x000a_Models are for those with baseline eGFR&gt;=45." sqref="F7">
      <formula1>0.28</formula1>
      <formula2>1.82</formula2>
    </dataValidation>
    <dataValidation type="decimal" allowBlank="1" showInputMessage="1" showErrorMessage="1" errorTitle="Discharge SCr Range" error="0.28 &lt;= Discharge SCr &lt;=18.0" sqref="F11">
      <formula1>0.28</formula1>
      <formula2>18</formula2>
    </dataValidation>
    <dataValidation type="decimal" allowBlank="1" showInputMessage="1" showErrorMessage="1" errorTitle="Highest SCr Range" error="0.28&lt;=Highest SCr&lt;=30.00" sqref="F9">
      <formula1>0.28</formula1>
      <formula2>30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Sheet2!$A$9:$A$13</xm:f>
          </x14:formula1>
          <xm:sqref>C11</xm:sqref>
        </x14:dataValidation>
        <x14:dataValidation type="list" showInputMessage="1" showErrorMessage="1">
          <x14:formula1>
            <xm:f>Sheet2!$A$4:$A$6</xm:f>
          </x14:formula1>
          <xm:sqref>C9</xm:sqref>
        </x14:dataValidation>
        <x14:dataValidation type="list" showInputMessage="1" showErrorMessage="1">
          <x14:formula1>
            <xm:f>Sheet2!$A$15:$A$17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3"/>
  <sheetViews>
    <sheetView workbookViewId="0">
      <selection activeCell="D26" sqref="D26"/>
    </sheetView>
  </sheetViews>
  <sheetFormatPr defaultRowHeight="15" x14ac:dyDescent="0.25"/>
  <cols>
    <col min="1" max="1" width="30.7109375" customWidth="1"/>
    <col min="2" max="2" width="11.140625" style="16" customWidth="1"/>
    <col min="3" max="3" width="12.140625" customWidth="1"/>
    <col min="4" max="4" width="12.7109375" style="20" customWidth="1"/>
    <col min="5" max="5" width="21.7109375" customWidth="1"/>
    <col min="6" max="6" width="9.42578125" style="44" customWidth="1"/>
    <col min="7" max="7" width="15" customWidth="1"/>
    <col min="8" max="8" width="14.140625" style="94" customWidth="1"/>
    <col min="9" max="9" width="14.7109375" customWidth="1"/>
    <col min="10" max="10" width="12.28515625" style="94" customWidth="1"/>
    <col min="11" max="11" width="12.28515625" customWidth="1"/>
    <col min="12" max="12" width="12.28515625" style="94" customWidth="1"/>
    <col min="13" max="13" width="12" customWidth="1"/>
    <col min="14" max="14" width="12" style="94" customWidth="1"/>
    <col min="15" max="15" width="11.28515625" customWidth="1"/>
    <col min="16" max="16" width="9.140625" style="94"/>
  </cols>
  <sheetData>
    <row r="1" spans="1:16" ht="15" customHeight="1" x14ac:dyDescent="0.45">
      <c r="A1" s="14" t="s">
        <v>21</v>
      </c>
      <c r="C1" s="14" t="s">
        <v>23</v>
      </c>
      <c r="D1" s="20" t="str">
        <f>IF(OR(RiskCalculator!F7="", RiskCalculator!F9=""),  "*Must enter baseline SCr and peak SCr during hospital admission"," ")</f>
        <v>*Must enter baseline SCr and peak SCr during hospital admission</v>
      </c>
      <c r="E1" s="99" t="s">
        <v>48</v>
      </c>
      <c r="F1" s="99"/>
      <c r="G1" s="100"/>
      <c r="H1" s="100"/>
      <c r="I1" s="100"/>
      <c r="J1" s="100"/>
      <c r="K1" s="100"/>
      <c r="L1" s="100"/>
      <c r="M1" s="100"/>
      <c r="N1" s="100"/>
      <c r="O1" s="100"/>
    </row>
    <row r="2" spans="1:16" ht="14.25" x14ac:dyDescent="0.45">
      <c r="E2" s="101" t="s">
        <v>49</v>
      </c>
      <c r="F2" s="101"/>
      <c r="G2" s="101" t="s">
        <v>46</v>
      </c>
      <c r="H2" s="101"/>
      <c r="I2" s="101" t="s">
        <v>31</v>
      </c>
      <c r="J2" s="101"/>
      <c r="K2" s="101" t="s">
        <v>56</v>
      </c>
      <c r="L2" s="101"/>
      <c r="M2" s="101" t="s">
        <v>32</v>
      </c>
      <c r="N2" s="101"/>
      <c r="O2" s="101" t="s">
        <v>33</v>
      </c>
      <c r="P2" s="101"/>
    </row>
    <row r="3" spans="1:16" ht="14.25" x14ac:dyDescent="0.45">
      <c r="A3" s="14" t="s">
        <v>1</v>
      </c>
      <c r="C3" s="14" t="s">
        <v>24</v>
      </c>
      <c r="D3" s="20" t="str">
        <f>IF(OR(RiskCalculator!F13=1, RiskCalculator!F13=2, RiskCalculator!F13=3), " ", "**The Calculator is for those with AKI only")</f>
        <v>**The Calculator is for those with AKI only</v>
      </c>
      <c r="E3" s="16" t="s">
        <v>50</v>
      </c>
      <c r="F3" s="44" t="s">
        <v>51</v>
      </c>
      <c r="G3" s="16" t="s">
        <v>47</v>
      </c>
      <c r="H3" s="26" t="s">
        <v>59</v>
      </c>
      <c r="I3" s="16" t="s">
        <v>47</v>
      </c>
      <c r="J3" s="26" t="s">
        <v>59</v>
      </c>
      <c r="K3" s="26" t="s">
        <v>47</v>
      </c>
      <c r="L3" s="26" t="s">
        <v>59</v>
      </c>
      <c r="M3" s="16" t="s">
        <v>47</v>
      </c>
      <c r="N3" s="26" t="s">
        <v>59</v>
      </c>
      <c r="O3" s="16" t="s">
        <v>47</v>
      </c>
      <c r="P3" s="40" t="s">
        <v>59</v>
      </c>
    </row>
    <row r="4" spans="1:16" ht="14.25" customHeight="1" x14ac:dyDescent="0.45">
      <c r="E4" s="19" t="s">
        <v>34</v>
      </c>
      <c r="F4" s="92">
        <v>1</v>
      </c>
      <c r="G4" s="89" t="s">
        <v>77</v>
      </c>
      <c r="H4" s="24">
        <f>G4*F4</f>
        <v>-9.2461000000000002</v>
      </c>
      <c r="I4" s="83" t="s">
        <v>90</v>
      </c>
      <c r="J4" s="24">
        <f>I4*F4</f>
        <v>-8.9939</v>
      </c>
      <c r="K4" s="89" t="s">
        <v>100</v>
      </c>
      <c r="L4" s="24">
        <f>K4*F4</f>
        <v>-9.1857000000000006</v>
      </c>
      <c r="M4" s="89" t="s">
        <v>106</v>
      </c>
      <c r="N4" s="24">
        <f>M4*F4</f>
        <v>-7.0724999999999998</v>
      </c>
      <c r="O4" s="89" t="s">
        <v>113</v>
      </c>
      <c r="P4" s="41">
        <f>O4*F4</f>
        <v>-5.1643999999999997</v>
      </c>
    </row>
    <row r="5" spans="1:16" ht="14.25" x14ac:dyDescent="0.45">
      <c r="A5" t="s">
        <v>2</v>
      </c>
      <c r="B5" s="16">
        <f>IF(RiskCalculator!C9 = "Female", 1, 0)</f>
        <v>0</v>
      </c>
      <c r="C5" s="14" t="s">
        <v>27</v>
      </c>
      <c r="E5" s="22" t="s">
        <v>35</v>
      </c>
      <c r="F5" s="92">
        <f>RiskCalculator!C7</f>
        <v>0</v>
      </c>
      <c r="G5" s="83" t="s">
        <v>78</v>
      </c>
      <c r="H5" s="24">
        <f t="shared" ref="H5:H21" si="0">G5*F5</f>
        <v>0</v>
      </c>
      <c r="I5" s="83" t="s">
        <v>91</v>
      </c>
      <c r="J5" s="24">
        <f t="shared" ref="J5:J17" si="1">I5*F5</f>
        <v>0</v>
      </c>
      <c r="K5" s="83" t="s">
        <v>101</v>
      </c>
      <c r="L5" s="24">
        <f t="shared" ref="L5:L11" si="2">K5*F5</f>
        <v>0</v>
      </c>
      <c r="M5" s="83" t="s">
        <v>107</v>
      </c>
      <c r="N5" s="24">
        <f t="shared" ref="N5:N17" si="3">M5*F5</f>
        <v>0</v>
      </c>
      <c r="O5" s="83" t="s">
        <v>114</v>
      </c>
      <c r="P5" s="41">
        <f t="shared" ref="P5:P10" si="4">O5*F5</f>
        <v>0</v>
      </c>
    </row>
    <row r="6" spans="1:16" ht="14.25" x14ac:dyDescent="0.45">
      <c r="A6" t="s">
        <v>3</v>
      </c>
      <c r="B6" s="16">
        <f>IF(RiskCalculator!C9 = "Male", 1, 0)</f>
        <v>0</v>
      </c>
      <c r="C6" t="s">
        <v>52</v>
      </c>
      <c r="D6" s="20">
        <f xml:space="preserve"> 100/(1+EXP(-(H23)))</f>
        <v>9.647791049936693E-3</v>
      </c>
      <c r="E6" s="22" t="s">
        <v>36</v>
      </c>
      <c r="F6" s="92">
        <f>B5</f>
        <v>0</v>
      </c>
      <c r="G6" s="83" t="s">
        <v>79</v>
      </c>
      <c r="H6" s="24">
        <f t="shared" si="0"/>
        <v>0</v>
      </c>
      <c r="I6" s="83" t="s">
        <v>92</v>
      </c>
      <c r="J6" s="24">
        <f t="shared" si="1"/>
        <v>0</v>
      </c>
      <c r="K6" s="83" t="s">
        <v>102</v>
      </c>
      <c r="L6" s="24">
        <f t="shared" si="2"/>
        <v>0</v>
      </c>
      <c r="M6" s="83" t="s">
        <v>108</v>
      </c>
      <c r="N6" s="24">
        <f t="shared" si="3"/>
        <v>0</v>
      </c>
      <c r="O6" s="83" t="s">
        <v>115</v>
      </c>
      <c r="P6" s="41">
        <f t="shared" si="4"/>
        <v>0</v>
      </c>
    </row>
    <row r="7" spans="1:16" ht="14.25" x14ac:dyDescent="0.45">
      <c r="C7" t="s">
        <v>53</v>
      </c>
      <c r="D7" s="20">
        <f xml:space="preserve"> 100/(1+EXP(-(J23)))</f>
        <v>1.2414948959722229E-2</v>
      </c>
      <c r="E7" s="22" t="s">
        <v>37</v>
      </c>
      <c r="F7" s="92"/>
      <c r="G7" s="83"/>
      <c r="H7" s="24"/>
      <c r="I7" s="83"/>
      <c r="J7" s="24"/>
      <c r="K7" s="83"/>
      <c r="L7" s="24"/>
      <c r="M7" s="83"/>
      <c r="N7" s="24"/>
      <c r="O7" s="83"/>
      <c r="P7" s="41"/>
    </row>
    <row r="8" spans="1:16" ht="14.25" x14ac:dyDescent="0.45">
      <c r="A8" s="14" t="s">
        <v>19</v>
      </c>
      <c r="C8" s="42" t="s">
        <v>58</v>
      </c>
      <c r="D8" s="43">
        <f xml:space="preserve"> 100/(1+EXP(-(L23)))</f>
        <v>1.0248414140116867E-2</v>
      </c>
      <c r="E8" s="39" t="s">
        <v>57</v>
      </c>
      <c r="F8" s="86">
        <v>0</v>
      </c>
      <c r="G8" s="83" t="s">
        <v>125</v>
      </c>
      <c r="H8" s="24">
        <f t="shared" si="0"/>
        <v>0</v>
      </c>
      <c r="I8" s="83" t="s">
        <v>125</v>
      </c>
      <c r="J8" s="24">
        <f t="shared" si="1"/>
        <v>0</v>
      </c>
      <c r="K8" s="83" t="s">
        <v>125</v>
      </c>
      <c r="L8" s="24">
        <f t="shared" si="2"/>
        <v>0</v>
      </c>
      <c r="M8" s="83"/>
      <c r="N8" s="24"/>
      <c r="O8" s="83" t="s">
        <v>125</v>
      </c>
      <c r="P8" s="41">
        <f t="shared" si="4"/>
        <v>0</v>
      </c>
    </row>
    <row r="9" spans="1:16" ht="14.25" x14ac:dyDescent="0.45">
      <c r="C9" t="s">
        <v>54</v>
      </c>
      <c r="D9" s="20">
        <f xml:space="preserve"> 100/(1+EXP(-(N23)))</f>
        <v>8.4739149980109438E-2</v>
      </c>
      <c r="E9" s="22" t="s">
        <v>38</v>
      </c>
      <c r="F9" s="92">
        <f>B32</f>
        <v>0</v>
      </c>
      <c r="G9" s="83" t="s">
        <v>80</v>
      </c>
      <c r="H9" s="24">
        <f t="shared" si="0"/>
        <v>0</v>
      </c>
      <c r="I9" s="83" t="s">
        <v>93</v>
      </c>
      <c r="J9" s="24">
        <f t="shared" si="1"/>
        <v>0</v>
      </c>
      <c r="K9" s="83" t="s">
        <v>103</v>
      </c>
      <c r="L9" s="24">
        <f t="shared" si="2"/>
        <v>0</v>
      </c>
      <c r="M9" s="83"/>
      <c r="N9" s="24"/>
      <c r="O9" s="83" t="s">
        <v>116</v>
      </c>
      <c r="P9" s="41">
        <f t="shared" si="4"/>
        <v>0</v>
      </c>
    </row>
    <row r="10" spans="1:16" ht="14.25" x14ac:dyDescent="0.45">
      <c r="A10" t="s">
        <v>11</v>
      </c>
      <c r="B10" s="16">
        <v>0</v>
      </c>
      <c r="C10" t="s">
        <v>55</v>
      </c>
      <c r="D10" s="20">
        <f xml:space="preserve"> 100/(1+EXP(-(P23)))</f>
        <v>0.56839991711484572</v>
      </c>
      <c r="E10" s="22" t="s">
        <v>39</v>
      </c>
      <c r="F10" s="92">
        <f>B33</f>
        <v>0</v>
      </c>
      <c r="G10" s="83" t="s">
        <v>81</v>
      </c>
      <c r="H10" s="24">
        <f t="shared" si="0"/>
        <v>0</v>
      </c>
      <c r="I10" s="83" t="s">
        <v>94</v>
      </c>
      <c r="J10" s="24">
        <f t="shared" si="1"/>
        <v>0</v>
      </c>
      <c r="K10" s="83" t="s">
        <v>104</v>
      </c>
      <c r="L10" s="24">
        <f t="shared" si="2"/>
        <v>0</v>
      </c>
      <c r="M10" s="83"/>
      <c r="N10" s="24"/>
      <c r="O10" s="83" t="s">
        <v>117</v>
      </c>
      <c r="P10" s="41">
        <f t="shared" si="4"/>
        <v>0</v>
      </c>
    </row>
    <row r="11" spans="1:16" ht="14.25" x14ac:dyDescent="0.45">
      <c r="A11" t="s">
        <v>4</v>
      </c>
      <c r="B11" s="16">
        <f>IF(RiskCalculator!C11 = "Mild", 1, 0)</f>
        <v>0</v>
      </c>
      <c r="E11" s="22" t="s">
        <v>40</v>
      </c>
      <c r="F11" s="92">
        <f>IF(RiskCalculator!F7="", 0, RiskCalculator!F7)</f>
        <v>0</v>
      </c>
      <c r="G11" s="83" t="s">
        <v>82</v>
      </c>
      <c r="H11" s="24">
        <f t="shared" si="0"/>
        <v>0</v>
      </c>
      <c r="I11" s="83" t="s">
        <v>95</v>
      </c>
      <c r="J11" s="24">
        <f t="shared" si="1"/>
        <v>0</v>
      </c>
      <c r="K11" s="83" t="s">
        <v>105</v>
      </c>
      <c r="L11" s="24">
        <f t="shared" si="2"/>
        <v>0</v>
      </c>
      <c r="M11" s="83"/>
      <c r="N11" s="24"/>
      <c r="O11" s="24"/>
      <c r="P11" s="41"/>
    </row>
    <row r="12" spans="1:16" ht="14.25" x14ac:dyDescent="0.45">
      <c r="A12" t="s">
        <v>5</v>
      </c>
      <c r="B12" s="16">
        <f>IF(RiskCalculator!C11 = "Heavy", 1, 0)</f>
        <v>0</v>
      </c>
      <c r="E12" s="22" t="s">
        <v>41</v>
      </c>
      <c r="F12" s="92"/>
      <c r="G12" s="83"/>
      <c r="H12" s="24"/>
      <c r="I12" s="83"/>
      <c r="J12" s="24"/>
      <c r="K12" s="41"/>
      <c r="L12" s="24"/>
      <c r="M12" s="83"/>
      <c r="N12" s="24"/>
      <c r="O12" s="23"/>
      <c r="P12" s="41"/>
    </row>
    <row r="13" spans="1:16" x14ac:dyDescent="0.25">
      <c r="A13" t="s">
        <v>118</v>
      </c>
      <c r="B13" s="94">
        <f>IF(RiskCalculator!C11 = "Not measured", 1, 0)</f>
        <v>0</v>
      </c>
      <c r="E13" s="84" t="s">
        <v>120</v>
      </c>
      <c r="F13" s="92">
        <f>B21</f>
        <v>0</v>
      </c>
      <c r="G13" s="83" t="s">
        <v>125</v>
      </c>
      <c r="H13" s="24">
        <f t="shared" si="0"/>
        <v>0</v>
      </c>
      <c r="I13" s="83" t="s">
        <v>125</v>
      </c>
      <c r="J13" s="24">
        <f t="shared" si="1"/>
        <v>0</v>
      </c>
      <c r="K13" s="41"/>
      <c r="L13" s="24"/>
      <c r="M13" s="83" t="s">
        <v>125</v>
      </c>
      <c r="N13" s="24">
        <f t="shared" si="3"/>
        <v>0</v>
      </c>
      <c r="O13" s="25"/>
      <c r="P13" s="41"/>
    </row>
    <row r="14" spans="1:16" x14ac:dyDescent="0.25">
      <c r="A14" s="14" t="s">
        <v>20</v>
      </c>
      <c r="E14" s="84" t="s">
        <v>121</v>
      </c>
      <c r="F14" s="92">
        <f t="shared" ref="F14:F17" si="5">B22</f>
        <v>0</v>
      </c>
      <c r="G14" s="83" t="s">
        <v>83</v>
      </c>
      <c r="H14" s="24">
        <f t="shared" si="0"/>
        <v>0</v>
      </c>
      <c r="I14" s="83" t="s">
        <v>96</v>
      </c>
      <c r="J14" s="24">
        <f t="shared" si="1"/>
        <v>0</v>
      </c>
      <c r="K14" s="41"/>
      <c r="L14" s="24"/>
      <c r="M14" s="83" t="s">
        <v>109</v>
      </c>
      <c r="N14" s="24">
        <f t="shared" si="3"/>
        <v>0</v>
      </c>
      <c r="O14" s="24"/>
      <c r="P14" s="41"/>
    </row>
    <row r="15" spans="1:16" x14ac:dyDescent="0.25">
      <c r="C15" s="18"/>
      <c r="E15" s="84" t="s">
        <v>122</v>
      </c>
      <c r="F15" s="92">
        <f t="shared" si="5"/>
        <v>0</v>
      </c>
      <c r="G15" s="83" t="s">
        <v>84</v>
      </c>
      <c r="H15" s="24">
        <f t="shared" si="0"/>
        <v>0</v>
      </c>
      <c r="I15" s="83" t="s">
        <v>97</v>
      </c>
      <c r="J15" s="24">
        <f t="shared" si="1"/>
        <v>0</v>
      </c>
      <c r="K15" s="41"/>
      <c r="L15" s="24"/>
      <c r="M15" s="83" t="s">
        <v>110</v>
      </c>
      <c r="N15" s="24">
        <f t="shared" si="3"/>
        <v>0</v>
      </c>
      <c r="O15" s="24"/>
      <c r="P15" s="41"/>
    </row>
    <row r="16" spans="1:16" x14ac:dyDescent="0.25">
      <c r="A16" t="s">
        <v>7</v>
      </c>
      <c r="E16" s="84" t="s">
        <v>123</v>
      </c>
      <c r="F16" s="92">
        <f t="shared" si="5"/>
        <v>0</v>
      </c>
      <c r="G16" s="83" t="s">
        <v>85</v>
      </c>
      <c r="H16" s="24">
        <f t="shared" si="0"/>
        <v>0</v>
      </c>
      <c r="I16" s="83" t="s">
        <v>98</v>
      </c>
      <c r="J16" s="24">
        <f t="shared" si="1"/>
        <v>0</v>
      </c>
      <c r="K16" s="41"/>
      <c r="L16" s="24"/>
      <c r="M16" s="83" t="s">
        <v>111</v>
      </c>
      <c r="N16" s="24">
        <f t="shared" si="3"/>
        <v>0</v>
      </c>
      <c r="O16" s="24"/>
      <c r="P16" s="41"/>
    </row>
    <row r="17" spans="1:16" x14ac:dyDescent="0.25">
      <c r="A17" t="s">
        <v>6</v>
      </c>
      <c r="E17" s="85" t="s">
        <v>124</v>
      </c>
      <c r="F17" s="92">
        <f t="shared" si="5"/>
        <v>0</v>
      </c>
      <c r="G17" s="83" t="s">
        <v>86</v>
      </c>
      <c r="H17" s="24">
        <f t="shared" si="0"/>
        <v>0</v>
      </c>
      <c r="I17" s="83" t="s">
        <v>99</v>
      </c>
      <c r="J17" s="24">
        <f t="shared" si="1"/>
        <v>0</v>
      </c>
      <c r="K17" s="41"/>
      <c r="L17" s="24"/>
      <c r="M17" s="83" t="s">
        <v>112</v>
      </c>
      <c r="N17" s="24">
        <f t="shared" si="3"/>
        <v>0</v>
      </c>
      <c r="O17" s="24"/>
      <c r="P17" s="41"/>
    </row>
    <row r="18" spans="1:16" x14ac:dyDescent="0.25">
      <c r="D18" s="21"/>
      <c r="E18" s="22" t="s">
        <v>42</v>
      </c>
      <c r="F18" s="92"/>
      <c r="G18" s="83"/>
      <c r="H18" s="24"/>
      <c r="I18" s="41"/>
      <c r="J18" s="24"/>
      <c r="K18" s="24"/>
      <c r="L18" s="24"/>
      <c r="M18" s="23"/>
      <c r="N18" s="24"/>
      <c r="O18" s="23"/>
      <c r="P18" s="41"/>
    </row>
    <row r="19" spans="1:16" x14ac:dyDescent="0.25">
      <c r="A19" s="14" t="s">
        <v>22</v>
      </c>
      <c r="E19" s="19" t="s">
        <v>43</v>
      </c>
      <c r="F19" s="92">
        <f>B10</f>
        <v>0</v>
      </c>
      <c r="G19" s="83"/>
      <c r="H19" s="24">
        <f t="shared" si="0"/>
        <v>0</v>
      </c>
      <c r="I19" s="41"/>
      <c r="J19" s="24"/>
      <c r="K19" s="24"/>
      <c r="L19" s="24"/>
      <c r="M19" s="23"/>
      <c r="N19" s="24"/>
      <c r="O19" s="23"/>
      <c r="P19" s="41"/>
    </row>
    <row r="20" spans="1:16" x14ac:dyDescent="0.25">
      <c r="E20" s="22" t="s">
        <v>44</v>
      </c>
      <c r="F20" s="92">
        <f t="shared" ref="F20:F21" si="6">B11</f>
        <v>0</v>
      </c>
      <c r="G20" s="83" t="s">
        <v>87</v>
      </c>
      <c r="H20" s="24">
        <f t="shared" si="0"/>
        <v>0</v>
      </c>
      <c r="I20" s="23"/>
      <c r="J20" s="24"/>
      <c r="K20" s="24"/>
      <c r="L20" s="24"/>
      <c r="M20" s="24"/>
      <c r="N20" s="24"/>
      <c r="O20" s="24"/>
      <c r="P20" s="41"/>
    </row>
    <row r="21" spans="1:16" x14ac:dyDescent="0.25">
      <c r="A21" s="84" t="s">
        <v>120</v>
      </c>
      <c r="B21" s="16">
        <f>IF(AND(RiskCalculator!F11&gt;=0.28, RiskCalculator!F11&lt;1), 1, 0)</f>
        <v>0</v>
      </c>
      <c r="E21" s="22" t="s">
        <v>45</v>
      </c>
      <c r="F21" s="92">
        <f t="shared" si="6"/>
        <v>0</v>
      </c>
      <c r="G21" s="83" t="s">
        <v>88</v>
      </c>
      <c r="H21" s="24">
        <f t="shared" si="0"/>
        <v>0</v>
      </c>
      <c r="I21" s="23"/>
      <c r="J21" s="24"/>
      <c r="K21" s="24"/>
      <c r="L21" s="24"/>
      <c r="M21" s="24"/>
      <c r="N21" s="24"/>
      <c r="O21" s="24"/>
      <c r="P21" s="41"/>
    </row>
    <row r="22" spans="1:16" x14ac:dyDescent="0.25">
      <c r="A22" s="84" t="s">
        <v>121</v>
      </c>
      <c r="B22" s="16">
        <f>IF(AND(RiskCalculator!F11&gt;=1, RiskCalculator!F11&lt;1.3), 1, 0)</f>
        <v>0</v>
      </c>
      <c r="E22" s="87" t="s">
        <v>119</v>
      </c>
      <c r="F22" s="90">
        <f>B13</f>
        <v>0</v>
      </c>
      <c r="G22" s="82" t="s">
        <v>89</v>
      </c>
      <c r="H22" s="88">
        <f>G22*F22</f>
        <v>0</v>
      </c>
      <c r="I22" s="91"/>
      <c r="J22" s="88"/>
      <c r="K22" s="28"/>
      <c r="L22" s="88"/>
      <c r="M22" s="91"/>
      <c r="N22" s="88"/>
      <c r="O22" s="28"/>
      <c r="P22" s="88"/>
    </row>
    <row r="23" spans="1:16" x14ac:dyDescent="0.25">
      <c r="A23" s="84" t="s">
        <v>122</v>
      </c>
      <c r="B23" s="16">
        <f>IF(AND(RiskCalculator!F11&gt;=1.3, RiskCalculator!F11&lt;1.6), 1, 0)</f>
        <v>0</v>
      </c>
      <c r="H23" s="93">
        <f>SUM(H4:H22)</f>
        <v>-9.2461000000000002</v>
      </c>
      <c r="J23" s="93">
        <f>SUM(J4:J22)</f>
        <v>-8.9939</v>
      </c>
      <c r="K23" s="27"/>
      <c r="L23" s="93">
        <f>SUM(L4:L22)</f>
        <v>-9.1857000000000006</v>
      </c>
      <c r="N23" s="93">
        <f>SUM(N4:N22)</f>
        <v>-7.0724999999999998</v>
      </c>
      <c r="O23" s="27"/>
      <c r="P23" s="93">
        <f>SUM(P4:P22)</f>
        <v>-5.1643999999999997</v>
      </c>
    </row>
    <row r="24" spans="1:16" x14ac:dyDescent="0.25">
      <c r="A24" s="84" t="s">
        <v>123</v>
      </c>
      <c r="B24" s="16">
        <f>IF(AND(RiskCalculator!F11&gt;=1.6, RiskCalculator!F11&lt;1.9), 1, 0)</f>
        <v>0</v>
      </c>
      <c r="J24" s="93"/>
      <c r="K24" s="27"/>
      <c r="L24" s="93"/>
    </row>
    <row r="25" spans="1:16" x14ac:dyDescent="0.25">
      <c r="A25" s="85" t="s">
        <v>124</v>
      </c>
      <c r="B25" s="16">
        <f>IF(RiskCalculator!F11&gt;=1.9, 1, 0)</f>
        <v>0</v>
      </c>
    </row>
    <row r="27" spans="1:16" x14ac:dyDescent="0.25">
      <c r="A27" s="14" t="s">
        <v>25</v>
      </c>
      <c r="B27" s="20"/>
    </row>
    <row r="28" spans="1:16" x14ac:dyDescent="0.25">
      <c r="A28" t="s">
        <v>61</v>
      </c>
      <c r="B28" s="20">
        <f>IF(AND(RiskCalculator!F9&lt;&gt;"", RiskCalculator!F7&lt;&gt;""), RiskCalculator!F9- RiskCalculator!F7, 0)</f>
        <v>0</v>
      </c>
    </row>
    <row r="29" spans="1:16" x14ac:dyDescent="0.25">
      <c r="A29" t="s">
        <v>60</v>
      </c>
      <c r="B29" s="20">
        <f>IF(AND(RiskCalculator!F7 &gt;0,RiskCalculator!F9&lt;&gt; ""),RiskCalculator!F9/RiskCalculator!F7, 0)</f>
        <v>0</v>
      </c>
    </row>
    <row r="30" spans="1:16" x14ac:dyDescent="0.25">
      <c r="A30" t="s">
        <v>26</v>
      </c>
      <c r="B30" s="20" t="str">
        <f>IF(RiskCalculator!C13="Yes",  3, IF(OR(B29&gt;=3, RiskCalculator!F9&gt;=4), 3, IF(AND(B29&gt;=2, B29&lt;3), 2, IF(OR(AND(B29&gt;=1.5, B29&lt;2), B28&gt;= 0.3), 1, ""))))</f>
        <v/>
      </c>
    </row>
    <row r="31" spans="1:16" x14ac:dyDescent="0.25">
      <c r="A31" s="18" t="s">
        <v>28</v>
      </c>
      <c r="B31" s="20">
        <v>0</v>
      </c>
    </row>
    <row r="32" spans="1:16" x14ac:dyDescent="0.25">
      <c r="A32" s="18" t="s">
        <v>29</v>
      </c>
      <c r="B32" s="20">
        <f>IF(B30=2, 1, 0)</f>
        <v>0</v>
      </c>
    </row>
    <row r="33" spans="1:2" x14ac:dyDescent="0.25">
      <c r="A33" s="18" t="s">
        <v>30</v>
      </c>
      <c r="B33" s="20">
        <f>IF(B30=3, 1, 0)</f>
        <v>0</v>
      </c>
    </row>
  </sheetData>
  <sheetProtection password="DCB5" sheet="1" objects="1" scenarios="1"/>
  <mergeCells count="7">
    <mergeCell ref="E1:O1"/>
    <mergeCell ref="E2:F2"/>
    <mergeCell ref="G2:H2"/>
    <mergeCell ref="I2:J2"/>
    <mergeCell ref="M2:N2"/>
    <mergeCell ref="O2:P2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RiskCalculator</vt:lpstr>
      <vt:lpstr>RiskCalculator!_GoBack</vt:lpstr>
      <vt:lpstr>Gender</vt:lpstr>
      <vt:lpstr>Proteinuria</vt:lpstr>
      <vt:lpstr>sex</vt:lpstr>
      <vt:lpstr>YesNo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 Tan</dc:creator>
  <cp:lastModifiedBy>blstewar</cp:lastModifiedBy>
  <dcterms:created xsi:type="dcterms:W3CDTF">2014-11-19T17:14:41Z</dcterms:created>
  <dcterms:modified xsi:type="dcterms:W3CDTF">2017-10-16T16:17:43Z</dcterms:modified>
</cp:coreProperties>
</file>